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4702\Desktop\"/>
    </mc:Choice>
  </mc:AlternateContent>
  <workbookProtection workbookAlgorithmName="SHA-512" workbookHashValue="bHqWa7i+uaXg/3XgGSE3X0igIQS2RoLl3VeMxWCitqRE3WVc3oqg9c6z1kpiscmlqTkctMyKSHDIpn1BhU5T6w==" workbookSaltValue="xFjflR5RXGxa5M5OtUGKaw==" workbookSpinCount="100000" lockStructure="1"/>
  <bookViews>
    <workbookView xWindow="240" yWindow="288" windowWidth="19320" windowHeight="11760"/>
  </bookViews>
  <sheets>
    <sheet name="Inputs" sheetId="4" r:id="rId1"/>
    <sheet name="Impacts" sheetId="3" state="hidden" r:id="rId2"/>
  </sheets>
  <calcPr calcId="162913"/>
</workbook>
</file>

<file path=xl/calcChain.xml><?xml version="1.0" encoding="utf-8"?>
<calcChain xmlns="http://schemas.openxmlformats.org/spreadsheetml/2006/main">
  <c r="G32" i="3" l="1"/>
  <c r="G33" i="3"/>
  <c r="G34" i="3" l="1"/>
  <c r="C34" i="3" s="1"/>
  <c r="C37" i="3" l="1"/>
  <c r="C41" i="3" l="1"/>
  <c r="E3" i="3" s="1"/>
  <c r="C40" i="3"/>
  <c r="R3" i="3" l="1"/>
  <c r="N3" i="3"/>
  <c r="J3" i="3"/>
  <c r="F3" i="3"/>
  <c r="D3" i="3"/>
  <c r="D14" i="3" s="1"/>
  <c r="P3" i="3"/>
  <c r="L3" i="3"/>
  <c r="H3" i="3"/>
  <c r="S3" i="3"/>
  <c r="O3" i="3"/>
  <c r="K3" i="3"/>
  <c r="G3" i="3"/>
  <c r="Q3" i="3"/>
  <c r="M3" i="3"/>
  <c r="I3" i="3"/>
  <c r="C29" i="3"/>
  <c r="C28" i="3"/>
  <c r="F4" i="3" l="1"/>
  <c r="J4" i="3"/>
  <c r="N4" i="3"/>
  <c r="R4" i="3"/>
  <c r="H4" i="3"/>
  <c r="L4" i="3"/>
  <c r="P4" i="3"/>
  <c r="D4" i="3"/>
  <c r="E4" i="3"/>
  <c r="I4" i="3"/>
  <c r="M4" i="3"/>
  <c r="Q4" i="3"/>
  <c r="G4" i="3"/>
  <c r="K4" i="3"/>
  <c r="O4" i="3"/>
  <c r="S4" i="3"/>
  <c r="C31" i="3"/>
  <c r="E5" i="3"/>
  <c r="F5" i="3"/>
  <c r="G5" i="3"/>
  <c r="H5" i="3"/>
  <c r="I5" i="3"/>
  <c r="J5" i="3"/>
  <c r="K5" i="3"/>
  <c r="L5" i="3"/>
  <c r="M5" i="3"/>
  <c r="N5" i="3"/>
  <c r="O5" i="3"/>
  <c r="P5" i="3"/>
  <c r="Q5" i="3"/>
  <c r="R5" i="3"/>
  <c r="S5" i="3"/>
  <c r="D5" i="3"/>
  <c r="E15" i="3" l="1"/>
  <c r="E16" i="3" l="1"/>
  <c r="F15" i="3" l="1"/>
  <c r="S15" i="3"/>
  <c r="D15" i="3"/>
  <c r="F16" i="3"/>
  <c r="G15" i="3" l="1"/>
  <c r="H15" i="3"/>
  <c r="G16" i="3"/>
  <c r="F14" i="3"/>
  <c r="F19" i="3" s="1"/>
  <c r="E14" i="3"/>
  <c r="E19" i="3" s="1"/>
  <c r="S14" i="3"/>
  <c r="D16" i="3" l="1"/>
  <c r="S16" i="3"/>
  <c r="G14" i="3"/>
  <c r="G19" i="3" s="1"/>
  <c r="I15" i="3" l="1"/>
  <c r="D19" i="3"/>
  <c r="S19" i="3"/>
  <c r="H14" i="3"/>
  <c r="J15" i="3" l="1"/>
  <c r="I16" i="3"/>
  <c r="K15" i="3"/>
  <c r="I14" i="3"/>
  <c r="J16" i="3" l="1"/>
  <c r="I19" i="3"/>
  <c r="K16" i="3" l="1"/>
  <c r="L15" i="3"/>
  <c r="J14" i="3"/>
  <c r="J19" i="3" s="1"/>
  <c r="K14" i="3"/>
  <c r="M15" i="3" l="1"/>
  <c r="K19" i="3"/>
  <c r="L14" i="3"/>
  <c r="M16" i="3"/>
  <c r="L16" i="3"/>
  <c r="N15" i="3" l="1"/>
  <c r="O15" i="3"/>
  <c r="M14" i="3"/>
  <c r="M19" i="3" s="1"/>
  <c r="L19" i="3"/>
  <c r="N16" i="3"/>
  <c r="N14" i="3" l="1"/>
  <c r="N19" i="3" s="1"/>
  <c r="P15" i="3" l="1"/>
  <c r="O16" i="3"/>
  <c r="O14" i="3"/>
  <c r="P14" i="3" l="1"/>
  <c r="O19" i="3"/>
  <c r="Q15" i="3"/>
  <c r="P16" i="3"/>
  <c r="P19" i="3" l="1"/>
  <c r="R15" i="3"/>
  <c r="Q14" i="3"/>
  <c r="R16" i="3"/>
  <c r="Q16" i="3"/>
  <c r="R14" i="3" l="1"/>
  <c r="R19" i="3" s="1"/>
  <c r="Q19" i="3"/>
  <c r="H16" i="3" l="1"/>
  <c r="H19" i="3" s="1"/>
  <c r="C30" i="3" s="1"/>
  <c r="C32" i="3" s="1"/>
  <c r="A15" i="4" s="1"/>
</calcChain>
</file>

<file path=xl/sharedStrings.xml><?xml version="1.0" encoding="utf-8"?>
<sst xmlns="http://schemas.openxmlformats.org/spreadsheetml/2006/main" count="58" uniqueCount="58">
  <si>
    <t>NPV of TRC Costs</t>
  </si>
  <si>
    <t>Total kWh Impact</t>
  </si>
  <si>
    <t>Total kW Impact</t>
  </si>
  <si>
    <t>Total Net Gas Consumption</t>
  </si>
  <si>
    <t>Capacity - $/kW-year</t>
  </si>
  <si>
    <t>Narural Gas - $/therm</t>
  </si>
  <si>
    <t>TRC</t>
  </si>
  <si>
    <t>All Tests Capacity</t>
  </si>
  <si>
    <t>All Tests Natural Gas</t>
  </si>
  <si>
    <t>NPV of TRC Benefits</t>
  </si>
  <si>
    <t>Benefits ($Millions) - Test Totals</t>
  </si>
  <si>
    <t>Line Loss Assumption</t>
  </si>
  <si>
    <t>Total Cumulative Wholesale Impacts</t>
  </si>
  <si>
    <t>Anticipated Incentive</t>
  </si>
  <si>
    <t>Assumed Program Admin %</t>
  </si>
  <si>
    <t>Utility Costs</t>
  </si>
  <si>
    <t>Project Costs</t>
  </si>
  <si>
    <t>Net Capacity</t>
  </si>
  <si>
    <t>USER INPUTS</t>
  </si>
  <si>
    <t>TRC Assumptions &amp; Calcs</t>
  </si>
  <si>
    <t>Absorption Chiller Demand Check</t>
  </si>
  <si>
    <t>Absorption Chiller Electricity Check</t>
  </si>
  <si>
    <t>Enter the nameplate capacity of the prime-mover (kW)</t>
  </si>
  <si>
    <t>Enter annual electricity generation by the prime-mover (kWh)</t>
  </si>
  <si>
    <t>Enter annual gas savings (therms)</t>
  </si>
  <si>
    <t>Enter existing annual electricity consumption (kWh)</t>
  </si>
  <si>
    <t>Enter existing peak demand (kW)</t>
  </si>
  <si>
    <t>Enter annual electricity (kWh) avoided by absorption chiller (Zero if no heat is captured to produce chilled water)</t>
  </si>
  <si>
    <t>Description</t>
  </si>
  <si>
    <t xml:space="preserve">Enter avoided costs ($) </t>
  </si>
  <si>
    <t>Enter TOTAL CHP project costs ($)</t>
  </si>
  <si>
    <t>Enter maximum demand offset by the absorption chiller (kW)</t>
  </si>
  <si>
    <t>The peak demand prior to the installation of the CHP System.</t>
  </si>
  <si>
    <t>The annual electricity consumption prior to the installation of the CHP system.</t>
  </si>
  <si>
    <t>This is the capacity of the engine or turbine.</t>
  </si>
  <si>
    <t>The amount of fuel consumed by the engine or turbine.</t>
  </si>
  <si>
    <t>Annual electricity generated by the engine or turbine.</t>
  </si>
  <si>
    <t>The fuel which is being avoided in the existing boilers, due to the installation of the CHP system.</t>
  </si>
  <si>
    <t>The demand being offset by the absorption chiller (Enter Zero, if no heat is converted to chilling).</t>
  </si>
  <si>
    <t>The electricity consumption being offset by the absorption chiller (Enter Zero, if no heat is converted to chilling).</t>
  </si>
  <si>
    <t>The costs avoided by the installation of the CHP system. Eligible equipent - chillers, backup generators, boilers. The age of the equipment and costs must be documented in the CHP feasibility study.</t>
  </si>
  <si>
    <t>The demand increase due to any parasitic loads such as gas compressors, refrigerant pump for the absorption chiller,etc .</t>
  </si>
  <si>
    <t>TRC Energy - $/kWh</t>
  </si>
  <si>
    <t>Avoided Costs - TRC</t>
  </si>
  <si>
    <t>Benefits ($Millions) - TRC</t>
  </si>
  <si>
    <t>TRC Energy</t>
  </si>
  <si>
    <t>TRC Total</t>
  </si>
  <si>
    <t>Discount Rate - TRC</t>
  </si>
  <si>
    <t>The electricity consumption increase due to any parasitic loads such as gas compressors, pumps for the absorption chiller,etc.</t>
  </si>
  <si>
    <t>Enter annual gas consumption by the prime-mover (therms)</t>
  </si>
  <si>
    <t>Enter demand increase due to parasitic loads (kW)</t>
  </si>
  <si>
    <t>Enter annual electricity consumption increase due to parasitic loads (kWh)</t>
  </si>
  <si>
    <t>The total cost of the CHP system which includes all equipment, design, construction, commissioning and other project related costs. (Don’t include any incentives)</t>
  </si>
  <si>
    <t>Size (kW)</t>
  </si>
  <si>
    <t>Inc/kW</t>
  </si>
  <si>
    <t>Amount</t>
  </si>
  <si>
    <t>Incentive Chart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</si>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</sst>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7" formatCode="&quot;$&quot;#,##0.00_);\(&quot;$&quot;#,##0.00\)"/>
    <numFmt numFmtId="8" formatCode="&quot;$&quot;#,##0.00_);[Red]\(&quot;$&quot;#,##0.00\)"/>
    <numFmt numFmtId="44" formatCode="_(&quot;$&quot;* #,##0.00_);_(&quot;$&quot;* \(#,##0.00\);_(&quot;$&quot;* &quot;-&quot;??_);_(@_)"/>
    <numFmt numFmtId="164" formatCode="&quot;$&quot;#,##0"/>
    <numFmt numFmtId="165" formatCode="&quot;$&quot;#,##0.00000"/>
    <numFmt numFmtId="166" formatCode="&quot;$&quot;#,##0.00"/>
    <numFmt numFmtId="167" formatCode="_(&quot;$&quot;* #,##0.000_);_(&quot;$&quot;* \(#,##0.000\);_(&quot;$&quot;* &quot;-&quot;???_);_(@_)"/>
    <numFmt numFmtId="168" formatCode="#,##0.000"/>
    <numFmt numFmtId="169" formatCode="#,##0.000_);[Red]\(#,##0.000\)"/>
    <numFmt numFmtId="170" formatCode="0.0%"/>
    <numFmt numFmtId="171" formatCode="_(&quot;$&quot;* #,##0_);_(&quot;$&quot;* \(#,##0\);_(&quot;$&quot;* &quot;-&quot;??_);_(@_)"/>
  </numFmts>
  <fonts count="6" x14ac:knownFonts="1">
    <font>
      <sz val="11"/>
      <color theme="1"/>
      <name val="Calibri"/>
      <family val="2"/>
      <scheme val="minor"/>
    </font>
    <font>
      <b/>
      <sz val="11"/>
      <color theme="1"/>
      <name val="Calibri"/>
      <family val="2"/>
      <scheme val="minor"/>
    </font>
    <font>
      <b/>
      <sz val="22"/>
      <color theme="1"/>
      <name val="Calibri"/>
      <family val="2"/>
      <scheme val="minor"/>
    </font>
    <font>
      <sz val="16"/>
      <color theme="1"/>
      <name val="Calibri"/>
      <family val="2"/>
      <scheme val="minor"/>
    </font>
    <font>
      <b/>
      <sz val="28"/>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44" fontId="5" fillId="0" borderId="0" applyFont="0" applyFill="0" applyBorder="0" applyAlignment="0" applyProtection="0"/>
  </cellStyleXfs>
  <cellXfs count="84">
    <xf numFmtId="0" fontId="0" fillId="0" borderId="0" xfId="0"/>
    <xf numFmtId="0" fontId="0" fillId="0" borderId="0" xfId="0" applyAlignment="1">
      <alignment horizontal="center"/>
    </xf>
    <xf numFmtId="0" fontId="0" fillId="0" borderId="0" xfId="0" applyAlignment="1">
      <alignment horizontal="right"/>
    </xf>
    <xf numFmtId="3" fontId="0" fillId="0" borderId="0" xfId="0" applyNumberFormat="1"/>
    <xf numFmtId="167" fontId="0" fillId="0" borderId="0" xfId="0" applyNumberFormat="1"/>
    <xf numFmtId="0" fontId="1" fillId="0" borderId="0" xfId="0" applyFont="1" applyAlignment="1">
      <alignment horizontal="right"/>
    </xf>
    <xf numFmtId="167" fontId="1" fillId="0" borderId="0" xfId="0" applyNumberFormat="1" applyFont="1"/>
    <xf numFmtId="2" fontId="1" fillId="0" borderId="0" xfId="0" applyNumberFormat="1" applyFont="1" applyAlignment="1">
      <alignment horizontal="center"/>
    </xf>
    <xf numFmtId="168" fontId="0" fillId="0" borderId="0" xfId="0" applyNumberFormat="1"/>
    <xf numFmtId="169" fontId="0" fillId="0" borderId="0" xfId="0" applyNumberFormat="1"/>
    <xf numFmtId="0" fontId="0" fillId="0" borderId="0" xfId="0" applyAlignment="1">
      <alignment horizontal="center" vertical="center"/>
    </xf>
    <xf numFmtId="0" fontId="0" fillId="0" borderId="0" xfId="0" applyAlignment="1">
      <alignment horizontal="left" vertical="center" wrapText="1"/>
    </xf>
    <xf numFmtId="164" fontId="0" fillId="0" borderId="0" xfId="0" applyNumberFormat="1" applyAlignment="1">
      <alignment horizontal="center" vertical="center"/>
    </xf>
    <xf numFmtId="3" fontId="0" fillId="0" borderId="0" xfId="0" applyNumberFormat="1" applyAlignment="1">
      <alignment horizontal="center"/>
    </xf>
    <xf numFmtId="164" fontId="0" fillId="0" borderId="4" xfId="0" applyNumberFormat="1" applyBorder="1" applyAlignment="1">
      <alignment horizontal="center" vertical="center"/>
    </xf>
    <xf numFmtId="0" fontId="0" fillId="0" borderId="3" xfId="0" applyBorder="1" applyAlignment="1">
      <alignment horizontal="left"/>
    </xf>
    <xf numFmtId="170" fontId="0" fillId="0" borderId="4" xfId="0" applyNumberFormat="1" applyBorder="1" applyAlignment="1">
      <alignment horizontal="center" vertical="center"/>
    </xf>
    <xf numFmtId="10" fontId="0" fillId="0" borderId="4" xfId="0" applyNumberFormat="1" applyBorder="1" applyAlignment="1">
      <alignment horizontal="center" vertical="center"/>
    </xf>
    <xf numFmtId="0" fontId="1" fillId="0" borderId="3" xfId="0" applyFont="1" applyBorder="1" applyAlignment="1">
      <alignment horizontal="left"/>
    </xf>
    <xf numFmtId="167" fontId="1" fillId="0" borderId="4" xfId="0" applyNumberFormat="1" applyFont="1" applyBorder="1" applyAlignment="1">
      <alignment horizontal="center" vertical="center"/>
    </xf>
    <xf numFmtId="0" fontId="1" fillId="0" borderId="5" xfId="0" applyFont="1" applyBorder="1" applyAlignment="1">
      <alignment horizontal="left"/>
    </xf>
    <xf numFmtId="2" fontId="1" fillId="0" borderId="6" xfId="0" applyNumberFormat="1" applyFont="1" applyBorder="1" applyAlignment="1">
      <alignment horizontal="center" vertical="center"/>
    </xf>
    <xf numFmtId="0" fontId="0" fillId="0" borderId="7" xfId="0" applyBorder="1" applyAlignment="1">
      <alignment horizontal="left" vertical="center" wrapText="1"/>
    </xf>
    <xf numFmtId="3" fontId="0" fillId="0" borderId="8" xfId="0" applyNumberForma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3" fillId="0" borderId="3"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1" fontId="0" fillId="0" borderId="0" xfId="0" applyNumberFormat="1" applyAlignment="1">
      <alignment horizontal="center"/>
    </xf>
    <xf numFmtId="0" fontId="0" fillId="0" borderId="1" xfId="0" applyBorder="1"/>
    <xf numFmtId="0" fontId="0" fillId="0" borderId="9" xfId="0" applyBorder="1" applyAlignment="1">
      <alignment horizontal="center" wrapText="1"/>
    </xf>
    <xf numFmtId="0" fontId="0" fillId="0" borderId="9" xfId="0"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3" xfId="0" applyBorder="1" applyAlignment="1">
      <alignment horizontal="right"/>
    </xf>
    <xf numFmtId="10" fontId="0" fillId="2" borderId="10" xfId="0" applyNumberFormat="1" applyFill="1" applyBorder="1" applyAlignment="1" applyProtection="1">
      <alignment horizontal="center"/>
      <protection locked="0"/>
    </xf>
    <xf numFmtId="3" fontId="0" fillId="0" borderId="10" xfId="0" applyNumberFormat="1" applyBorder="1"/>
    <xf numFmtId="3" fontId="0" fillId="0" borderId="4" xfId="0" applyNumberFormat="1" applyBorder="1"/>
    <xf numFmtId="0" fontId="0" fillId="0" borderId="3" xfId="0" applyBorder="1"/>
    <xf numFmtId="0" fontId="0" fillId="0" borderId="10" xfId="0" applyBorder="1"/>
    <xf numFmtId="0" fontId="0" fillId="0" borderId="4" xfId="0" applyBorder="1"/>
    <xf numFmtId="165" fontId="0" fillId="0" borderId="10" xfId="0" applyNumberFormat="1" applyBorder="1"/>
    <xf numFmtId="165" fontId="0" fillId="0" borderId="4" xfId="0" applyNumberFormat="1" applyBorder="1"/>
    <xf numFmtId="166" fontId="0" fillId="0" borderId="10" xfId="0" applyNumberFormat="1" applyBorder="1"/>
    <xf numFmtId="7" fontId="0" fillId="0" borderId="10" xfId="0" applyNumberFormat="1" applyBorder="1"/>
    <xf numFmtId="7" fontId="0" fillId="0" borderId="4" xfId="0" applyNumberFormat="1" applyBorder="1"/>
    <xf numFmtId="8" fontId="0" fillId="0" borderId="10" xfId="0" applyNumberFormat="1" applyBorder="1"/>
    <xf numFmtId="8" fontId="0" fillId="0" borderId="4" xfId="0" applyNumberFormat="1" applyBorder="1"/>
    <xf numFmtId="167" fontId="0" fillId="0" borderId="10" xfId="0" applyNumberFormat="1" applyBorder="1"/>
    <xf numFmtId="167" fontId="0" fillId="0" borderId="4" xfId="0" applyNumberFormat="1" applyBorder="1"/>
    <xf numFmtId="0" fontId="0" fillId="0" borderId="5" xfId="0" applyBorder="1" applyAlignment="1">
      <alignment horizontal="right"/>
    </xf>
    <xf numFmtId="0" fontId="0" fillId="0" borderId="11" xfId="0" applyBorder="1" applyAlignment="1">
      <alignment horizontal="center"/>
    </xf>
    <xf numFmtId="167" fontId="0" fillId="0" borderId="11" xfId="0" applyNumberFormat="1" applyBorder="1"/>
    <xf numFmtId="167" fontId="0" fillId="0" borderId="6" xfId="0" applyNumberFormat="1" applyBorder="1"/>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Fill="1" applyBorder="1" applyAlignment="1">
      <alignment horizontal="left" vertical="center" wrapText="1"/>
    </xf>
    <xf numFmtId="3" fontId="3" fillId="2" borderId="10" xfId="0" applyNumberFormat="1" applyFont="1" applyFill="1" applyBorder="1" applyAlignment="1" applyProtection="1">
      <alignment horizontal="center" vertical="center"/>
      <protection locked="0"/>
    </xf>
    <xf numFmtId="1" fontId="3" fillId="2" borderId="10" xfId="0" applyNumberFormat="1" applyFont="1" applyFill="1" applyBorder="1" applyAlignment="1" applyProtection="1">
      <alignment horizontal="center" vertical="center"/>
      <protection locked="0"/>
    </xf>
    <xf numFmtId="164" fontId="3" fillId="2" borderId="10" xfId="0" applyNumberFormat="1" applyFont="1" applyFill="1" applyBorder="1" applyAlignment="1" applyProtection="1">
      <alignment horizontal="center" vertical="center"/>
      <protection locked="0"/>
    </xf>
    <xf numFmtId="3" fontId="3" fillId="2" borderId="11" xfId="0" applyNumberFormat="1" applyFont="1" applyFill="1" applyBorder="1" applyAlignment="1" applyProtection="1">
      <alignment horizontal="center" vertical="center"/>
      <protection locked="0"/>
    </xf>
    <xf numFmtId="0" fontId="0" fillId="0" borderId="7" xfId="0" applyFont="1" applyBorder="1" applyAlignment="1">
      <alignment horizontal="left" vertical="center" wrapText="1"/>
    </xf>
    <xf numFmtId="164" fontId="0" fillId="2" borderId="8" xfId="0" applyNumberFormat="1" applyFill="1" applyBorder="1" applyAlignment="1">
      <alignment horizontal="center" vertical="center"/>
    </xf>
    <xf numFmtId="171" fontId="0" fillId="0" borderId="10" xfId="1" applyNumberFormat="1" applyFont="1" applyBorder="1"/>
    <xf numFmtId="0" fontId="0" fillId="0" borderId="17" xfId="0" applyBorder="1" applyAlignment="1">
      <alignment horizontal="center"/>
    </xf>
    <xf numFmtId="0" fontId="0" fillId="0" borderId="19" xfId="0" applyBorder="1" applyAlignment="1">
      <alignment horizontal="center"/>
    </xf>
    <xf numFmtId="0" fontId="0" fillId="0" borderId="17" xfId="0" applyBorder="1"/>
    <xf numFmtId="44" fontId="0" fillId="0" borderId="19" xfId="1" applyFont="1" applyBorder="1"/>
    <xf numFmtId="0" fontId="0" fillId="0" borderId="20" xfId="0" applyBorder="1"/>
    <xf numFmtId="171" fontId="0" fillId="0" borderId="21" xfId="1" applyNumberFormat="1" applyFont="1" applyBorder="1"/>
    <xf numFmtId="44" fontId="0" fillId="0" borderId="22" xfId="1" applyFont="1" applyBorder="1"/>
    <xf numFmtId="44" fontId="0" fillId="0" borderId="0" xfId="0" applyNumberFormat="1"/>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cellXfs>
  <cellStyles count="2">
    <cellStyle name="Currency" xfId="1" builtinId="4"/>
    <cellStyle name="Normal" xfId="0" builtinId="0"/>
  </cellStyles>
  <dxfs count="2">
    <dxf>
      <fill>
        <patternFill>
          <bgColor rgb="FFFF0000"/>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tabSelected="1" zoomScale="60" zoomScaleNormal="60" workbookViewId="0">
      <pane ySplit="1" topLeftCell="A2" activePane="bottomLeft" state="frozen"/>
      <selection pane="bottomLeft" activeCell="B2" sqref="B2"/>
    </sheetView>
  </sheetViews>
  <sheetFormatPr defaultColWidth="9.109375" defaultRowHeight="14.4" x14ac:dyDescent="0.3"/>
  <cols>
    <col min="1" max="1" width="72.6640625" style="11" customWidth="1"/>
    <col min="2" max="2" width="29.6640625" style="10" customWidth="1"/>
    <col min="3" max="3" width="132.109375" style="10" bestFit="1" customWidth="1"/>
    <col min="4" max="4" width="9.109375" style="10"/>
    <col min="5" max="5" width="25.88671875" style="10" bestFit="1" customWidth="1"/>
    <col min="6" max="6" width="10.109375" style="10" bestFit="1" customWidth="1"/>
    <col min="7" max="16384" width="9.109375" style="10"/>
  </cols>
  <sheetData>
    <row r="1" spans="1:3" s="25" customFormat="1" ht="29.4" thickTop="1" x14ac:dyDescent="0.3">
      <c r="A1" s="74" t="s">
        <v>18</v>
      </c>
      <c r="B1" s="75"/>
      <c r="C1" s="24" t="s">
        <v>28</v>
      </c>
    </row>
    <row r="2" spans="1:3" s="25" customFormat="1" ht="25.5" customHeight="1" x14ac:dyDescent="0.3">
      <c r="A2" s="26" t="s">
        <v>26</v>
      </c>
      <c r="B2" s="59"/>
      <c r="C2" s="58" t="s">
        <v>32</v>
      </c>
    </row>
    <row r="3" spans="1:3" s="25" customFormat="1" ht="36" customHeight="1" x14ac:dyDescent="0.3">
      <c r="A3" s="26" t="s">
        <v>25</v>
      </c>
      <c r="B3" s="59"/>
      <c r="C3" s="56" t="s">
        <v>33</v>
      </c>
    </row>
    <row r="4" spans="1:3" ht="27" customHeight="1" x14ac:dyDescent="0.3">
      <c r="A4" s="26" t="s">
        <v>22</v>
      </c>
      <c r="B4" s="59"/>
      <c r="C4" s="56" t="s">
        <v>34</v>
      </c>
    </row>
    <row r="5" spans="1:3" ht="47.25" customHeight="1" x14ac:dyDescent="0.3">
      <c r="A5" s="27" t="s">
        <v>49</v>
      </c>
      <c r="B5" s="59"/>
      <c r="C5" s="56" t="s">
        <v>35</v>
      </c>
    </row>
    <row r="6" spans="1:3" ht="45" customHeight="1" x14ac:dyDescent="0.3">
      <c r="A6" s="27" t="s">
        <v>23</v>
      </c>
      <c r="B6" s="59"/>
      <c r="C6" s="56" t="s">
        <v>36</v>
      </c>
    </row>
    <row r="7" spans="1:3" ht="38.25" customHeight="1" x14ac:dyDescent="0.3">
      <c r="A7" s="27" t="s">
        <v>24</v>
      </c>
      <c r="B7" s="59"/>
      <c r="C7" s="56" t="s">
        <v>37</v>
      </c>
    </row>
    <row r="8" spans="1:3" ht="42" x14ac:dyDescent="0.3">
      <c r="A8" s="27" t="s">
        <v>31</v>
      </c>
      <c r="B8" s="60"/>
      <c r="C8" s="56" t="s">
        <v>38</v>
      </c>
    </row>
    <row r="9" spans="1:3" ht="63" x14ac:dyDescent="0.3">
      <c r="A9" s="27" t="s">
        <v>27</v>
      </c>
      <c r="B9" s="59"/>
      <c r="C9" s="56" t="s">
        <v>39</v>
      </c>
    </row>
    <row r="10" spans="1:3" ht="42" x14ac:dyDescent="0.3">
      <c r="A10" s="27" t="s">
        <v>30</v>
      </c>
      <c r="B10" s="61"/>
      <c r="C10" s="56" t="s">
        <v>52</v>
      </c>
    </row>
    <row r="11" spans="1:3" ht="42" x14ac:dyDescent="0.3">
      <c r="A11" s="27" t="s">
        <v>29</v>
      </c>
      <c r="B11" s="61"/>
      <c r="C11" s="56" t="s">
        <v>40</v>
      </c>
    </row>
    <row r="12" spans="1:3" ht="42" x14ac:dyDescent="0.3">
      <c r="A12" s="27" t="s">
        <v>50</v>
      </c>
      <c r="B12" s="59"/>
      <c r="C12" s="56" t="s">
        <v>41</v>
      </c>
    </row>
    <row r="13" spans="1:3" ht="58.5" customHeight="1" thickBot="1" x14ac:dyDescent="0.35">
      <c r="A13" s="28" t="s">
        <v>51</v>
      </c>
      <c r="B13" s="62"/>
      <c r="C13" s="57" t="s">
        <v>48</v>
      </c>
    </row>
    <row r="14" spans="1:3" ht="15.6" thickTop="1" thickBot="1" x14ac:dyDescent="0.35">
      <c r="A14" s="10"/>
    </row>
    <row r="15" spans="1:3" ht="37.799999999999997" thickTop="1" thickBot="1" x14ac:dyDescent="0.35">
      <c r="A15" s="76" t="str">
        <f>IF(OR(B2="",B3="",B4="",B5="",B6="",B7="",B8="",B9="",B10="",B11="",B12="",B13=""),"",IF(Impacts!C31=0,"",IF(Impacts!C32&gt;1,"The project PASSES the preliminary Total Resource Cost Test (TRC) and may qualify.", "The project FAILS the preliminary Total Resource Cost Test and is ineligible for submission. Please contact ICF to explore options")))</f>
        <v/>
      </c>
      <c r="B15" s="77"/>
      <c r="C15" s="78"/>
    </row>
    <row r="16" spans="1:3" ht="15" thickTop="1" x14ac:dyDescent="0.3">
      <c r="A16" s="10"/>
    </row>
    <row r="21" spans="3:3" x14ac:dyDescent="0.3">
      <c r="C21" s="12"/>
    </row>
  </sheetData>
  <sheetProtection algorithmName="SHA-512" hashValue="h+qs8in9s/eEx/GaMt+e8seebrmTfKyzrKR8ii052yU0Mm60/RoDvJejp64eyAivYwUvr5JUWbdVBT9H4kcjEA==" saltValue="qG4B9HBz6igDI6kc3gBVUw==" spinCount="100000" sheet="1" selectLockedCells="1"/>
  <mergeCells count="2">
    <mergeCell ref="A1:B1"/>
    <mergeCell ref="A15:C15"/>
  </mergeCells>
  <conditionalFormatting sqref="A15:C15">
    <cfRule type="containsText" dxfId="1" priority="1" operator="containsText" text="PASSES">
      <formula>NOT(ISERROR(SEARCH("PASSES",A15)))</formula>
    </cfRule>
    <cfRule type="containsText" dxfId="0" priority="2" operator="containsText" text="FAILS">
      <formula>NOT(ISERROR(SEARCH("FAILS",A15)))</formula>
    </cfRule>
  </conditionalFormatting>
  <dataValidations count="1">
    <dataValidation type="whole" allowBlank="1" showInputMessage="1" showErrorMessage="1" error="Please Enter Whole Numbers Only" sqref="B2:B13">
      <formula1>0</formula1>
      <formula2>1000000000000000000</formula2>
    </dataValidation>
  </dataValidations>
  <pageMargins left="0.7" right="0.7" top="0.75" bottom="0.75" header="0.3" footer="0.3"/>
  <pageSetup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1"/>
  <sheetViews>
    <sheetView topLeftCell="A16" workbookViewId="0">
      <selection activeCell="G34" sqref="G34"/>
    </sheetView>
  </sheetViews>
  <sheetFormatPr defaultRowHeight="14.4" x14ac:dyDescent="0.3"/>
  <cols>
    <col min="2" max="2" width="32.6640625" customWidth="1"/>
    <col min="3" max="3" width="11.5546875" style="1" customWidth="1"/>
    <col min="4" max="6" width="10.109375" bestFit="1" customWidth="1"/>
    <col min="7" max="7" width="14.21875" bestFit="1" customWidth="1"/>
    <col min="8" max="19" width="10.109375" bestFit="1" customWidth="1"/>
    <col min="21" max="21" width="10.88671875" bestFit="1" customWidth="1"/>
  </cols>
  <sheetData>
    <row r="1" spans="2:21" ht="29.4" thickTop="1" x14ac:dyDescent="0.3">
      <c r="B1" s="30"/>
      <c r="C1" s="31" t="s">
        <v>11</v>
      </c>
      <c r="D1" s="32">
        <v>2013</v>
      </c>
      <c r="E1" s="32">
        <v>2014</v>
      </c>
      <c r="F1" s="32">
        <v>2015</v>
      </c>
      <c r="G1" s="32">
        <v>2016</v>
      </c>
      <c r="H1" s="32">
        <v>2017</v>
      </c>
      <c r="I1" s="32">
        <v>2018</v>
      </c>
      <c r="J1" s="32">
        <v>2019</v>
      </c>
      <c r="K1" s="32">
        <v>2020</v>
      </c>
      <c r="L1" s="32">
        <v>2021</v>
      </c>
      <c r="M1" s="32">
        <v>2022</v>
      </c>
      <c r="N1" s="32">
        <v>2023</v>
      </c>
      <c r="O1" s="32">
        <v>2024</v>
      </c>
      <c r="P1" s="32">
        <v>2025</v>
      </c>
      <c r="Q1" s="32">
        <v>2026</v>
      </c>
      <c r="R1" s="32">
        <v>2027</v>
      </c>
      <c r="S1" s="33">
        <v>2028</v>
      </c>
    </row>
    <row r="2" spans="2:21" x14ac:dyDescent="0.3">
      <c r="B2" s="18" t="s">
        <v>12</v>
      </c>
      <c r="C2" s="34"/>
      <c r="D2" s="34">
        <v>1</v>
      </c>
      <c r="E2" s="34">
        <v>2</v>
      </c>
      <c r="F2" s="34">
        <v>3</v>
      </c>
      <c r="G2" s="34">
        <v>4</v>
      </c>
      <c r="H2" s="34">
        <v>5</v>
      </c>
      <c r="I2" s="34">
        <v>6</v>
      </c>
      <c r="J2" s="34">
        <v>7</v>
      </c>
      <c r="K2" s="34">
        <v>8</v>
      </c>
      <c r="L2" s="34">
        <v>9</v>
      </c>
      <c r="M2" s="34">
        <v>10</v>
      </c>
      <c r="N2" s="34">
        <v>11</v>
      </c>
      <c r="O2" s="34">
        <v>12</v>
      </c>
      <c r="P2" s="34">
        <v>13</v>
      </c>
      <c r="Q2" s="34">
        <v>14</v>
      </c>
      <c r="R2" s="34">
        <v>15</v>
      </c>
      <c r="S2" s="35">
        <v>16</v>
      </c>
    </row>
    <row r="3" spans="2:21" x14ac:dyDescent="0.3">
      <c r="B3" s="36" t="s">
        <v>1</v>
      </c>
      <c r="C3" s="37">
        <v>6.6500000000000004E-2</v>
      </c>
      <c r="D3" s="38">
        <f>(Inputs!$B$6+$C$41-Inputs!$B$13)*(1+$C3)</f>
        <v>0</v>
      </c>
      <c r="E3" s="38">
        <f>(Inputs!$B$6+$C$41-Inputs!$B$13)*(1+$C3)</f>
        <v>0</v>
      </c>
      <c r="F3" s="38">
        <f>(Inputs!$B$6+$C$41-Inputs!$B$13)*(1+$C3)</f>
        <v>0</v>
      </c>
      <c r="G3" s="38">
        <f>(Inputs!$B$6+$C$41-Inputs!$B$13)*(1+$C3)</f>
        <v>0</v>
      </c>
      <c r="H3" s="38">
        <f>(Inputs!$B$6+$C$41-Inputs!$B$13)*(1+$C3)</f>
        <v>0</v>
      </c>
      <c r="I3" s="38">
        <f>(Inputs!$B$6+$C$41-Inputs!$B$13)*(1+$C3)</f>
        <v>0</v>
      </c>
      <c r="J3" s="38">
        <f>(Inputs!$B$6+$C$41-Inputs!$B$13)*(1+$C3)</f>
        <v>0</v>
      </c>
      <c r="K3" s="38">
        <f>(Inputs!$B$6+$C$41-Inputs!$B$13)*(1+$C3)</f>
        <v>0</v>
      </c>
      <c r="L3" s="38">
        <f>(Inputs!$B$6+$C$41-Inputs!$B$13)*(1+$C3)</f>
        <v>0</v>
      </c>
      <c r="M3" s="38">
        <f>(Inputs!$B$6+$C$41-Inputs!$B$13)*(1+$C3)</f>
        <v>0</v>
      </c>
      <c r="N3" s="38">
        <f>(Inputs!$B$6+$C$41-Inputs!$B$13)*(1+$C3)</f>
        <v>0</v>
      </c>
      <c r="O3" s="38">
        <f>(Inputs!$B$6+$C$41-Inputs!$B$13)*(1+$C3)</f>
        <v>0</v>
      </c>
      <c r="P3" s="38">
        <f>(Inputs!$B$6+$C$41-Inputs!$B$13)*(1+$C3)</f>
        <v>0</v>
      </c>
      <c r="Q3" s="38">
        <f>(Inputs!$B$6+$C$41-Inputs!$B$13)*(1+$C3)</f>
        <v>0</v>
      </c>
      <c r="R3" s="38">
        <f>(Inputs!$B$6+$C$41-Inputs!$B$13)*(1+$C3)</f>
        <v>0</v>
      </c>
      <c r="S3" s="39">
        <f>(Inputs!$B$6+$C$41-Inputs!$B$13)*(1+$C3)</f>
        <v>0</v>
      </c>
      <c r="U3" s="3"/>
    </row>
    <row r="4" spans="2:21" x14ac:dyDescent="0.3">
      <c r="B4" s="36" t="s">
        <v>2</v>
      </c>
      <c r="C4" s="37">
        <v>6.6699999999999995E-2</v>
      </c>
      <c r="D4" s="38">
        <f>(Impacts!$C$37+$C$40)*(1+$C4)</f>
        <v>0</v>
      </c>
      <c r="E4" s="38">
        <f>(Impacts!$C$37+$C$40)*(1+$C4)</f>
        <v>0</v>
      </c>
      <c r="F4" s="38">
        <f>(Impacts!$C$37+$C$40)*(1+$C4)</f>
        <v>0</v>
      </c>
      <c r="G4" s="38">
        <f>(Impacts!$C$37+$C$40)*(1+$C4)</f>
        <v>0</v>
      </c>
      <c r="H4" s="38">
        <f>(Impacts!$C$37+$C$40)*(1+$C4)</f>
        <v>0</v>
      </c>
      <c r="I4" s="38">
        <f>(Impacts!$C$37+$C$40)*(1+$C4)</f>
        <v>0</v>
      </c>
      <c r="J4" s="38">
        <f>(Impacts!$C$37+$C$40)*(1+$C4)</f>
        <v>0</v>
      </c>
      <c r="K4" s="38">
        <f>(Impacts!$C$37+$C$40)*(1+$C4)</f>
        <v>0</v>
      </c>
      <c r="L4" s="38">
        <f>(Impacts!$C$37+$C$40)*(1+$C4)</f>
        <v>0</v>
      </c>
      <c r="M4" s="38">
        <f>(Impacts!$C$37+$C$40)*(1+$C4)</f>
        <v>0</v>
      </c>
      <c r="N4" s="38">
        <f>(Impacts!$C$37+$C$40)*(1+$C4)</f>
        <v>0</v>
      </c>
      <c r="O4" s="38">
        <f>(Impacts!$C$37+$C$40)*(1+$C4)</f>
        <v>0</v>
      </c>
      <c r="P4" s="38">
        <f>(Impacts!$C$37+$C$40)*(1+$C4)</f>
        <v>0</v>
      </c>
      <c r="Q4" s="38">
        <f>(Impacts!$C$37+$C$40)*(1+$C4)</f>
        <v>0</v>
      </c>
      <c r="R4" s="38">
        <f>(Impacts!$C$37+$C$40)*(1+$C4)</f>
        <v>0</v>
      </c>
      <c r="S4" s="39">
        <f>(Impacts!$C$37+$C$40)*(1+$C4)</f>
        <v>0</v>
      </c>
      <c r="U4" s="9"/>
    </row>
    <row r="5" spans="2:21" x14ac:dyDescent="0.3">
      <c r="B5" s="36" t="s">
        <v>3</v>
      </c>
      <c r="C5" s="37">
        <v>1.6299999999999999E-2</v>
      </c>
      <c r="D5" s="38">
        <f>(Inputs!$B$5-Inputs!$B$7)*(1+$C5)</f>
        <v>0</v>
      </c>
      <c r="E5" s="38">
        <f>(Inputs!$B$5-Inputs!$B$7)*(1+$C5)</f>
        <v>0</v>
      </c>
      <c r="F5" s="38">
        <f>(Inputs!$B$5-Inputs!$B$7)*(1+$C5)</f>
        <v>0</v>
      </c>
      <c r="G5" s="38">
        <f>(Inputs!$B$5-Inputs!$B$7)*(1+$C5)</f>
        <v>0</v>
      </c>
      <c r="H5" s="38">
        <f>(Inputs!$B$5-Inputs!$B$7)*(1+$C5)</f>
        <v>0</v>
      </c>
      <c r="I5" s="38">
        <f>(Inputs!$B$5-Inputs!$B$7)*(1+$C5)</f>
        <v>0</v>
      </c>
      <c r="J5" s="38">
        <f>(Inputs!$B$5-Inputs!$B$7)*(1+$C5)</f>
        <v>0</v>
      </c>
      <c r="K5" s="38">
        <f>(Inputs!$B$5-Inputs!$B$7)*(1+$C5)</f>
        <v>0</v>
      </c>
      <c r="L5" s="38">
        <f>(Inputs!$B$5-Inputs!$B$7)*(1+$C5)</f>
        <v>0</v>
      </c>
      <c r="M5" s="38">
        <f>(Inputs!$B$5-Inputs!$B$7)*(1+$C5)</f>
        <v>0</v>
      </c>
      <c r="N5" s="38">
        <f>(Inputs!$B$5-Inputs!$B$7)*(1+$C5)</f>
        <v>0</v>
      </c>
      <c r="O5" s="38">
        <f>(Inputs!$B$5-Inputs!$B$7)*(1+$C5)</f>
        <v>0</v>
      </c>
      <c r="P5" s="38">
        <f>(Inputs!$B$5-Inputs!$B$7)*(1+$C5)</f>
        <v>0</v>
      </c>
      <c r="Q5" s="38">
        <f>(Inputs!$B$5-Inputs!$B$7)*(1+$C5)</f>
        <v>0</v>
      </c>
      <c r="R5" s="38">
        <f>(Inputs!$B$5-Inputs!$B$7)*(1+$C5)</f>
        <v>0</v>
      </c>
      <c r="S5" s="39">
        <f>(Inputs!$B$5-Inputs!$B$7)*(1+$C5)</f>
        <v>0</v>
      </c>
    </row>
    <row r="6" spans="2:21" x14ac:dyDescent="0.3">
      <c r="B6" s="40"/>
      <c r="C6" s="34"/>
      <c r="D6" s="41"/>
      <c r="E6" s="41"/>
      <c r="F6" s="41"/>
      <c r="G6" s="41"/>
      <c r="H6" s="41"/>
      <c r="I6" s="41"/>
      <c r="J6" s="41"/>
      <c r="K6" s="41"/>
      <c r="L6" s="41"/>
      <c r="M6" s="41"/>
      <c r="N6" s="41"/>
      <c r="O6" s="41"/>
      <c r="P6" s="41"/>
      <c r="Q6" s="41"/>
      <c r="R6" s="41"/>
      <c r="S6" s="42"/>
    </row>
    <row r="7" spans="2:21" x14ac:dyDescent="0.3">
      <c r="B7" s="40"/>
      <c r="C7" s="34"/>
      <c r="D7" s="41"/>
      <c r="E7" s="41"/>
      <c r="F7" s="41"/>
      <c r="G7" s="41"/>
      <c r="H7" s="41"/>
      <c r="I7" s="41"/>
      <c r="J7" s="41"/>
      <c r="K7" s="41"/>
      <c r="L7" s="41"/>
      <c r="M7" s="41"/>
      <c r="N7" s="41"/>
      <c r="O7" s="41"/>
      <c r="P7" s="41"/>
      <c r="Q7" s="41"/>
      <c r="R7" s="41"/>
      <c r="S7" s="42"/>
    </row>
    <row r="8" spans="2:21" x14ac:dyDescent="0.3">
      <c r="B8" s="18" t="s">
        <v>43</v>
      </c>
      <c r="C8" s="34"/>
      <c r="D8" s="41"/>
      <c r="E8" s="41"/>
      <c r="F8" s="41"/>
      <c r="G8" s="41"/>
      <c r="H8" s="41"/>
      <c r="I8" s="41"/>
      <c r="J8" s="41"/>
      <c r="K8" s="41"/>
      <c r="L8" s="41"/>
      <c r="M8" s="41"/>
      <c r="N8" s="41"/>
      <c r="O8" s="41"/>
      <c r="P8" s="41"/>
      <c r="Q8" s="41"/>
      <c r="R8" s="41"/>
      <c r="S8" s="42"/>
    </row>
    <row r="9" spans="2:21" x14ac:dyDescent="0.3">
      <c r="B9" s="36" t="s">
        <v>42</v>
      </c>
      <c r="C9" s="34"/>
      <c r="D9" s="43">
        <v>8.8161580972704254E-2</v>
      </c>
      <c r="E9" s="43">
        <v>8.4303691997411848E-2</v>
      </c>
      <c r="F9" s="43">
        <v>8.6411284297347124E-2</v>
      </c>
      <c r="G9" s="43">
        <v>8.857156640478081E-2</v>
      </c>
      <c r="H9" s="43">
        <v>9.078585556490032E-2</v>
      </c>
      <c r="I9" s="43">
        <v>9.3055501954022818E-2</v>
      </c>
      <c r="J9" s="43">
        <v>9.5381889502873379E-2</v>
      </c>
      <c r="K9" s="43">
        <v>9.7766436740445203E-2</v>
      </c>
      <c r="L9" s="43">
        <v>0.10021059765895632</v>
      </c>
      <c r="M9" s="43">
        <v>0.10271586260043022</v>
      </c>
      <c r="N9" s="43">
        <v>0.10528375916544097</v>
      </c>
      <c r="O9" s="43">
        <v>0.10791585314457697</v>
      </c>
      <c r="P9" s="43">
        <v>0.11061374947319139</v>
      </c>
      <c r="Q9" s="43">
        <v>0.11061374947319139</v>
      </c>
      <c r="R9" s="43">
        <v>0.11061374947319139</v>
      </c>
      <c r="S9" s="44">
        <v>0.11061374947319139</v>
      </c>
    </row>
    <row r="10" spans="2:21" x14ac:dyDescent="0.3">
      <c r="B10" s="36" t="s">
        <v>4</v>
      </c>
      <c r="C10" s="34"/>
      <c r="D10" s="45">
        <v>85.346549940299994</v>
      </c>
      <c r="E10" s="45">
        <v>47.323425295619998</v>
      </c>
      <c r="F10" s="45">
        <v>93.778262367924583</v>
      </c>
      <c r="G10" s="45">
        <v>95.8600885475404</v>
      </c>
      <c r="H10" s="45">
        <v>98.256590761228907</v>
      </c>
      <c r="I10" s="46">
        <v>100.71300553025961</v>
      </c>
      <c r="J10" s="46">
        <v>103.51365486212846</v>
      </c>
      <c r="K10" s="46">
        <v>105.81160143522897</v>
      </c>
      <c r="L10" s="46">
        <v>108.45689147110969</v>
      </c>
      <c r="M10" s="46">
        <v>111.16831375788742</v>
      </c>
      <c r="N10" s="46">
        <v>114.25970659252454</v>
      </c>
      <c r="O10" s="46">
        <v>116.79620964188045</v>
      </c>
      <c r="P10" s="46">
        <v>119.71611488292747</v>
      </c>
      <c r="Q10" s="46">
        <v>119.71611488292747</v>
      </c>
      <c r="R10" s="46">
        <v>119.71611488292747</v>
      </c>
      <c r="S10" s="47">
        <v>119.71611488292747</v>
      </c>
    </row>
    <row r="11" spans="2:21" x14ac:dyDescent="0.3">
      <c r="B11" s="36" t="s">
        <v>5</v>
      </c>
      <c r="C11" s="34"/>
      <c r="D11" s="48">
        <v>0.68540000000000001</v>
      </c>
      <c r="E11" s="48">
        <v>0.71060000000000001</v>
      </c>
      <c r="F11" s="48">
        <v>0.73250000000000004</v>
      </c>
      <c r="G11" s="48">
        <v>0.73250000000000004</v>
      </c>
      <c r="H11" s="48">
        <v>0.73250000000000004</v>
      </c>
      <c r="I11" s="48">
        <v>0.73250000000000004</v>
      </c>
      <c r="J11" s="48">
        <v>0.73250000000000004</v>
      </c>
      <c r="K11" s="48">
        <v>0.73250000000000004</v>
      </c>
      <c r="L11" s="48">
        <v>0.73250000000000004</v>
      </c>
      <c r="M11" s="48">
        <v>0.73250000000000004</v>
      </c>
      <c r="N11" s="48">
        <v>0.73250000000000004</v>
      </c>
      <c r="O11" s="48">
        <v>0.73250000000000004</v>
      </c>
      <c r="P11" s="48">
        <v>0.73250000000000004</v>
      </c>
      <c r="Q11" s="48">
        <v>0.73250000000000004</v>
      </c>
      <c r="R11" s="48">
        <v>0.73250000000000004</v>
      </c>
      <c r="S11" s="49">
        <v>0.73250000000000004</v>
      </c>
    </row>
    <row r="12" spans="2:21" x14ac:dyDescent="0.3">
      <c r="B12" s="40"/>
      <c r="C12" s="34"/>
      <c r="D12" s="41"/>
      <c r="E12" s="41"/>
      <c r="F12" s="41"/>
      <c r="G12" s="41"/>
      <c r="H12" s="41"/>
      <c r="I12" s="41"/>
      <c r="J12" s="41"/>
      <c r="K12" s="41"/>
      <c r="L12" s="41"/>
      <c r="M12" s="41"/>
      <c r="N12" s="41"/>
      <c r="O12" s="41"/>
      <c r="P12" s="41"/>
      <c r="Q12" s="41"/>
      <c r="R12" s="41"/>
      <c r="S12" s="42"/>
    </row>
    <row r="13" spans="2:21" x14ac:dyDescent="0.3">
      <c r="B13" s="18" t="s">
        <v>44</v>
      </c>
      <c r="C13" s="34"/>
      <c r="D13" s="41"/>
      <c r="E13" s="41"/>
      <c r="F13" s="41"/>
      <c r="G13" s="41"/>
      <c r="H13" s="41"/>
      <c r="I13" s="41"/>
      <c r="J13" s="41"/>
      <c r="K13" s="41"/>
      <c r="L13" s="41"/>
      <c r="M13" s="41"/>
      <c r="N13" s="41"/>
      <c r="O13" s="41"/>
      <c r="P13" s="41"/>
      <c r="Q13" s="41"/>
      <c r="R13" s="41"/>
      <c r="S13" s="42"/>
    </row>
    <row r="14" spans="2:21" x14ac:dyDescent="0.3">
      <c r="B14" s="36" t="s">
        <v>45</v>
      </c>
      <c r="C14" s="34"/>
      <c r="D14" s="50">
        <f>D3*D9/1000000</f>
        <v>0</v>
      </c>
      <c r="E14" s="50">
        <f t="shared" ref="E14:S14" si="0">E3*E9/1000000</f>
        <v>0</v>
      </c>
      <c r="F14" s="50">
        <f t="shared" si="0"/>
        <v>0</v>
      </c>
      <c r="G14" s="50">
        <f t="shared" si="0"/>
        <v>0</v>
      </c>
      <c r="H14" s="50">
        <f t="shared" si="0"/>
        <v>0</v>
      </c>
      <c r="I14" s="50">
        <f t="shared" si="0"/>
        <v>0</v>
      </c>
      <c r="J14" s="50">
        <f t="shared" si="0"/>
        <v>0</v>
      </c>
      <c r="K14" s="50">
        <f t="shared" si="0"/>
        <v>0</v>
      </c>
      <c r="L14" s="50">
        <f t="shared" si="0"/>
        <v>0</v>
      </c>
      <c r="M14" s="50">
        <f t="shared" si="0"/>
        <v>0</v>
      </c>
      <c r="N14" s="50">
        <f t="shared" si="0"/>
        <v>0</v>
      </c>
      <c r="O14" s="50">
        <f t="shared" si="0"/>
        <v>0</v>
      </c>
      <c r="P14" s="50">
        <f t="shared" si="0"/>
        <v>0</v>
      </c>
      <c r="Q14" s="50">
        <f t="shared" si="0"/>
        <v>0</v>
      </c>
      <c r="R14" s="50">
        <f t="shared" si="0"/>
        <v>0</v>
      </c>
      <c r="S14" s="51">
        <f t="shared" si="0"/>
        <v>0</v>
      </c>
    </row>
    <row r="15" spans="2:21" x14ac:dyDescent="0.3">
      <c r="B15" s="36" t="s">
        <v>7</v>
      </c>
      <c r="C15" s="34"/>
      <c r="D15" s="50">
        <f t="shared" ref="D15:S15" si="1">D4*D10/1000000</f>
        <v>0</v>
      </c>
      <c r="E15" s="50">
        <f t="shared" si="1"/>
        <v>0</v>
      </c>
      <c r="F15" s="50">
        <f t="shared" si="1"/>
        <v>0</v>
      </c>
      <c r="G15" s="50">
        <f t="shared" si="1"/>
        <v>0</v>
      </c>
      <c r="H15" s="50">
        <f t="shared" si="1"/>
        <v>0</v>
      </c>
      <c r="I15" s="50">
        <f t="shared" si="1"/>
        <v>0</v>
      </c>
      <c r="J15" s="50">
        <f t="shared" si="1"/>
        <v>0</v>
      </c>
      <c r="K15" s="50">
        <f t="shared" si="1"/>
        <v>0</v>
      </c>
      <c r="L15" s="50">
        <f t="shared" si="1"/>
        <v>0</v>
      </c>
      <c r="M15" s="50">
        <f t="shared" si="1"/>
        <v>0</v>
      </c>
      <c r="N15" s="50">
        <f t="shared" si="1"/>
        <v>0</v>
      </c>
      <c r="O15" s="50">
        <f t="shared" si="1"/>
        <v>0</v>
      </c>
      <c r="P15" s="50">
        <f t="shared" si="1"/>
        <v>0</v>
      </c>
      <c r="Q15" s="50">
        <f t="shared" si="1"/>
        <v>0</v>
      </c>
      <c r="R15" s="50">
        <f t="shared" si="1"/>
        <v>0</v>
      </c>
      <c r="S15" s="51">
        <f t="shared" si="1"/>
        <v>0</v>
      </c>
    </row>
    <row r="16" spans="2:21" x14ac:dyDescent="0.3">
      <c r="B16" s="36" t="s">
        <v>8</v>
      </c>
      <c r="C16" s="34"/>
      <c r="D16" s="50">
        <f t="shared" ref="D16:S16" si="2">-D5*D11/1000000</f>
        <v>0</v>
      </c>
      <c r="E16" s="50">
        <f t="shared" si="2"/>
        <v>0</v>
      </c>
      <c r="F16" s="50">
        <f t="shared" si="2"/>
        <v>0</v>
      </c>
      <c r="G16" s="50">
        <f t="shared" si="2"/>
        <v>0</v>
      </c>
      <c r="H16" s="50">
        <f t="shared" si="2"/>
        <v>0</v>
      </c>
      <c r="I16" s="50">
        <f t="shared" si="2"/>
        <v>0</v>
      </c>
      <c r="J16" s="50">
        <f t="shared" si="2"/>
        <v>0</v>
      </c>
      <c r="K16" s="50">
        <f t="shared" si="2"/>
        <v>0</v>
      </c>
      <c r="L16" s="50">
        <f t="shared" si="2"/>
        <v>0</v>
      </c>
      <c r="M16" s="50">
        <f t="shared" si="2"/>
        <v>0</v>
      </c>
      <c r="N16" s="50">
        <f t="shared" si="2"/>
        <v>0</v>
      </c>
      <c r="O16" s="50">
        <f t="shared" si="2"/>
        <v>0</v>
      </c>
      <c r="P16" s="50">
        <f t="shared" si="2"/>
        <v>0</v>
      </c>
      <c r="Q16" s="50">
        <f t="shared" si="2"/>
        <v>0</v>
      </c>
      <c r="R16" s="50">
        <f t="shared" si="2"/>
        <v>0</v>
      </c>
      <c r="S16" s="51">
        <f t="shared" si="2"/>
        <v>0</v>
      </c>
    </row>
    <row r="17" spans="2:19" x14ac:dyDescent="0.3">
      <c r="B17" s="36"/>
      <c r="C17" s="34"/>
      <c r="D17" s="50"/>
      <c r="E17" s="50"/>
      <c r="F17" s="50"/>
      <c r="G17" s="50"/>
      <c r="H17" s="50"/>
      <c r="I17" s="50"/>
      <c r="J17" s="50"/>
      <c r="K17" s="50"/>
      <c r="L17" s="50"/>
      <c r="M17" s="50"/>
      <c r="N17" s="50"/>
      <c r="O17" s="50"/>
      <c r="P17" s="50"/>
      <c r="Q17" s="50"/>
      <c r="R17" s="50"/>
      <c r="S17" s="51"/>
    </row>
    <row r="18" spans="2:19" x14ac:dyDescent="0.3">
      <c r="B18" s="18" t="s">
        <v>10</v>
      </c>
      <c r="C18" s="34"/>
      <c r="D18" s="50"/>
      <c r="E18" s="50"/>
      <c r="F18" s="50"/>
      <c r="G18" s="50"/>
      <c r="H18" s="50"/>
      <c r="I18" s="50"/>
      <c r="J18" s="50"/>
      <c r="K18" s="50"/>
      <c r="L18" s="50"/>
      <c r="M18" s="50"/>
      <c r="N18" s="50"/>
      <c r="O18" s="50"/>
      <c r="P18" s="50"/>
      <c r="Q18" s="50"/>
      <c r="R18" s="50"/>
      <c r="S18" s="51"/>
    </row>
    <row r="19" spans="2:19" ht="15" thickBot="1" x14ac:dyDescent="0.35">
      <c r="B19" s="52" t="s">
        <v>46</v>
      </c>
      <c r="C19" s="53"/>
      <c r="D19" s="54">
        <f t="shared" ref="D19:S19" si="3">SUM(D14,D15:D16)</f>
        <v>0</v>
      </c>
      <c r="E19" s="54">
        <f t="shared" si="3"/>
        <v>0</v>
      </c>
      <c r="F19" s="54">
        <f t="shared" si="3"/>
        <v>0</v>
      </c>
      <c r="G19" s="54">
        <f t="shared" si="3"/>
        <v>0</v>
      </c>
      <c r="H19" s="54">
        <f t="shared" si="3"/>
        <v>0</v>
      </c>
      <c r="I19" s="54">
        <f t="shared" si="3"/>
        <v>0</v>
      </c>
      <c r="J19" s="54">
        <f t="shared" si="3"/>
        <v>0</v>
      </c>
      <c r="K19" s="54">
        <f t="shared" si="3"/>
        <v>0</v>
      </c>
      <c r="L19" s="54">
        <f t="shared" si="3"/>
        <v>0</v>
      </c>
      <c r="M19" s="54">
        <f t="shared" si="3"/>
        <v>0</v>
      </c>
      <c r="N19" s="54">
        <f t="shared" si="3"/>
        <v>0</v>
      </c>
      <c r="O19" s="54">
        <f t="shared" si="3"/>
        <v>0</v>
      </c>
      <c r="P19" s="54">
        <f t="shared" si="3"/>
        <v>0</v>
      </c>
      <c r="Q19" s="54">
        <f t="shared" si="3"/>
        <v>0</v>
      </c>
      <c r="R19" s="54">
        <f t="shared" si="3"/>
        <v>0</v>
      </c>
      <c r="S19" s="55">
        <f t="shared" si="3"/>
        <v>0</v>
      </c>
    </row>
    <row r="20" spans="2:19" ht="15" thickTop="1" x14ac:dyDescent="0.3">
      <c r="B20" s="2"/>
      <c r="D20" s="4"/>
      <c r="E20" s="4"/>
      <c r="F20" s="4"/>
      <c r="G20" s="4"/>
      <c r="H20" s="4"/>
      <c r="I20" s="4"/>
      <c r="J20" s="4"/>
      <c r="K20" s="4"/>
      <c r="L20" s="4"/>
      <c r="M20" s="4"/>
      <c r="N20" s="4"/>
      <c r="O20" s="4"/>
      <c r="P20" s="4"/>
      <c r="Q20" s="4"/>
      <c r="R20" s="4"/>
      <c r="S20" s="4"/>
    </row>
    <row r="22" spans="2:19" x14ac:dyDescent="0.3">
      <c r="D22" s="5"/>
      <c r="E22" s="6"/>
      <c r="H22" s="5"/>
      <c r="I22" s="6"/>
      <c r="L22" s="5"/>
      <c r="M22" s="6"/>
    </row>
    <row r="23" spans="2:19" x14ac:dyDescent="0.3">
      <c r="D23" s="5"/>
      <c r="E23" s="6"/>
      <c r="H23" s="5"/>
      <c r="I23" s="6"/>
      <c r="L23" s="5"/>
      <c r="M23" s="6"/>
    </row>
    <row r="24" spans="2:19" ht="15" thickBot="1" x14ac:dyDescent="0.35">
      <c r="D24" s="5"/>
      <c r="E24" s="7"/>
      <c r="H24" s="5"/>
      <c r="I24" s="7"/>
      <c r="L24" s="5"/>
      <c r="M24" s="7"/>
    </row>
    <row r="25" spans="2:19" ht="15" thickTop="1" x14ac:dyDescent="0.3">
      <c r="B25" s="79" t="s">
        <v>19</v>
      </c>
      <c r="C25" s="80"/>
    </row>
    <row r="26" spans="2:19" x14ac:dyDescent="0.3">
      <c r="B26" s="15" t="s">
        <v>14</v>
      </c>
      <c r="C26" s="16">
        <v>0.1312045039292731</v>
      </c>
    </row>
    <row r="27" spans="2:19" x14ac:dyDescent="0.3">
      <c r="B27" s="15" t="s">
        <v>47</v>
      </c>
      <c r="C27" s="17">
        <v>8.0699999999999994E-2</v>
      </c>
    </row>
    <row r="28" spans="2:19" x14ac:dyDescent="0.3">
      <c r="B28" s="15" t="s">
        <v>15</v>
      </c>
      <c r="C28" s="14">
        <f>Impacts!C34*(Impacts!C26)</f>
        <v>0</v>
      </c>
    </row>
    <row r="29" spans="2:19" ht="15" thickBot="1" x14ac:dyDescent="0.35">
      <c r="B29" s="15" t="s">
        <v>16</v>
      </c>
      <c r="C29" s="14">
        <f>Inputs!B10-Inputs!B11</f>
        <v>0</v>
      </c>
      <c r="D29" s="8"/>
    </row>
    <row r="30" spans="2:19" x14ac:dyDescent="0.3">
      <c r="B30" s="18" t="s">
        <v>9</v>
      </c>
      <c r="C30" s="19">
        <f>NPV(C27,Impacts!D19:S19)</f>
        <v>0</v>
      </c>
      <c r="D30" s="8"/>
      <c r="E30" s="81" t="s">
        <v>56</v>
      </c>
      <c r="F30" s="82"/>
      <c r="G30" s="83"/>
    </row>
    <row r="31" spans="2:19" x14ac:dyDescent="0.3">
      <c r="B31" s="18" t="s">
        <v>0</v>
      </c>
      <c r="C31" s="19">
        <f>(C28+C29)/1000000</f>
        <v>0</v>
      </c>
      <c r="D31" s="3"/>
      <c r="E31" s="66" t="s">
        <v>53</v>
      </c>
      <c r="F31" s="34" t="s">
        <v>54</v>
      </c>
      <c r="G31" s="67" t="s">
        <v>55</v>
      </c>
    </row>
    <row r="32" spans="2:19" ht="15" thickBot="1" x14ac:dyDescent="0.35">
      <c r="B32" s="20" t="s">
        <v>6</v>
      </c>
      <c r="C32" s="21" t="e">
        <f>Impacts!C30/Impacts!C31</f>
        <v>#DIV/0!</v>
      </c>
      <c r="E32" s="68">
        <v>0</v>
      </c>
      <c r="F32" s="65">
        <v>1200</v>
      </c>
      <c r="G32" s="69">
        <f>IF((Inputs!B4)&lt;1000.0001, ((Inputs!B4)*F32),"-")</f>
        <v>0</v>
      </c>
    </row>
    <row r="33" spans="2:9" ht="15.6" thickTop="1" thickBot="1" x14ac:dyDescent="0.35">
      <c r="E33" s="70">
        <v>1000.0000001</v>
      </c>
      <c r="F33" s="71">
        <v>900</v>
      </c>
      <c r="G33" s="72" t="str">
        <f>IF((Inputs!B4)&gt;1000,(1000*F32)+((Inputs!B4)-1000)*F33,"-")</f>
        <v>-</v>
      </c>
      <c r="I33" s="3"/>
    </row>
    <row r="34" spans="2:9" ht="15.6" thickTop="1" thickBot="1" x14ac:dyDescent="0.35">
      <c r="B34" s="63" t="s">
        <v>13</v>
      </c>
      <c r="C34" s="64">
        <f>G34</f>
        <v>0</v>
      </c>
      <c r="F34" t="s">
        <v>57</v>
      </c>
      <c r="G34" s="73">
        <f>MIN(2500000,SUM(G32:G33))</f>
        <v>0</v>
      </c>
    </row>
    <row r="35" spans="2:9" ht="15" thickTop="1" x14ac:dyDescent="0.3">
      <c r="B35" s="10"/>
      <c r="C35" s="10"/>
      <c r="D35" s="3"/>
    </row>
    <row r="36" spans="2:9" ht="15" thickBot="1" x14ac:dyDescent="0.35">
      <c r="B36" s="11"/>
      <c r="C36" s="10"/>
    </row>
    <row r="37" spans="2:9" ht="15.6" thickTop="1" thickBot="1" x14ac:dyDescent="0.35">
      <c r="B37" s="22" t="s">
        <v>17</v>
      </c>
      <c r="C37" s="23">
        <f>Inputs!B4-Inputs!B12</f>
        <v>0</v>
      </c>
    </row>
    <row r="38" spans="2:9" ht="15" thickTop="1" x14ac:dyDescent="0.3"/>
    <row r="40" spans="2:9" x14ac:dyDescent="0.3">
      <c r="B40" t="s">
        <v>20</v>
      </c>
      <c r="C40" s="29">
        <f>MIN(Inputs!B8,Inputs!B2-Inputs!B4)</f>
        <v>0</v>
      </c>
    </row>
    <row r="41" spans="2:9" x14ac:dyDescent="0.3">
      <c r="B41" t="s">
        <v>21</v>
      </c>
      <c r="C41" s="13">
        <f>MIN(Inputs!B3-Inputs!B6,Inputs!B9)</f>
        <v>0</v>
      </c>
    </row>
  </sheetData>
  <mergeCells count="2">
    <mergeCell ref="B25:C25"/>
    <mergeCell ref="E30:G30"/>
  </mergeCells>
  <pageMargins left="0.7" right="0.7" top="0.75" bottom="0.75" header="0.3" footer="0.3"/>
  <pageSetup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Inputs</vt:lpstr>
      <vt:lpstr>Impacts</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ICF</dc:creator>
  <cp:lastModifiedBy>Cassidy, Brendan</cp:lastModifiedBy>
  <cp:lastPrinted>2013-12-04T17:57:48Z</cp:lastPrinted>
  <dcterms:created xsi:type="dcterms:W3CDTF">2011-08-30T12:57:50Z</dcterms:created>
  <dcterms:modified xsi:type="dcterms:W3CDTF">2018-07-06T20:00:49Z</dcterms:modified>
</cp:coreProperties>
</file>